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O:\"/>
    </mc:Choice>
  </mc:AlternateContent>
  <xr:revisionPtr revIDLastSave="0" documentId="13_ncr:1_{F33A41CB-09DA-4A2D-9D33-B4A056F34C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definedNames>
    <definedName name="_xlnm.Print_Area" localSheetId="0">Blad1!$A$1:$K$77</definedName>
  </definedNames>
  <calcPr calcId="191029"/>
</workbook>
</file>

<file path=xl/calcChain.xml><?xml version="1.0" encoding="utf-8"?>
<calcChain xmlns="http://schemas.openxmlformats.org/spreadsheetml/2006/main">
  <c r="D7" i="1" l="1"/>
  <c r="D8" i="1"/>
  <c r="D5" i="1"/>
  <c r="D6" i="1"/>
  <c r="H7" i="1" l="1"/>
  <c r="H5" i="1"/>
  <c r="I1" i="1"/>
  <c r="H6" i="1"/>
  <c r="D12" i="1"/>
  <c r="H12" i="1" s="1"/>
  <c r="H8" i="1"/>
  <c r="C9" i="1"/>
  <c r="D9" i="1" s="1"/>
  <c r="C12" i="1"/>
  <c r="C16" i="1"/>
  <c r="D16" i="1"/>
  <c r="C20" i="1"/>
  <c r="D20" i="1"/>
  <c r="H20" i="1" s="1"/>
  <c r="H9" i="1" l="1"/>
  <c r="H13" i="1" s="1"/>
  <c r="H17" i="1" s="1"/>
  <c r="H21" i="1" l="1"/>
  <c r="J9" i="1"/>
  <c r="K9" i="1" s="1"/>
  <c r="D13" i="1"/>
  <c r="D17" i="1" s="1"/>
  <c r="J13" i="1" l="1"/>
  <c r="E13" i="1"/>
  <c r="K13" i="1" l="1"/>
  <c r="I13" i="1" s="1"/>
  <c r="E17" i="1"/>
  <c r="D21" i="1"/>
  <c r="J17" i="1"/>
  <c r="K17" i="1" l="1"/>
  <c r="I17" i="1" s="1"/>
  <c r="E21" i="1"/>
  <c r="J21" i="1"/>
  <c r="K21" i="1" l="1"/>
  <c r="I21" i="1" s="1"/>
</calcChain>
</file>

<file path=xl/sharedStrings.xml><?xml version="1.0" encoding="utf-8"?>
<sst xmlns="http://schemas.openxmlformats.org/spreadsheetml/2006/main" count="46" uniqueCount="32">
  <si>
    <t>basic empty weight</t>
  </si>
  <si>
    <t>front seat</t>
  </si>
  <si>
    <t>rear seat</t>
  </si>
  <si>
    <t>bagage / aft seat</t>
  </si>
  <si>
    <t>kg</t>
  </si>
  <si>
    <t>lbs</t>
  </si>
  <si>
    <t>Mass</t>
  </si>
  <si>
    <t>Arm</t>
  </si>
  <si>
    <t>inch</t>
  </si>
  <si>
    <t>Moment</t>
  </si>
  <si>
    <t>zero fuel mass</t>
  </si>
  <si>
    <t>ramp mass</t>
  </si>
  <si>
    <t>landing mass</t>
  </si>
  <si>
    <t>total fuel (USG)</t>
  </si>
  <si>
    <t>taxi fuel (USG)</t>
  </si>
  <si>
    <t>trip fuel (USG)</t>
  </si>
  <si>
    <t>US Gallons</t>
  </si>
  <si>
    <t>liters</t>
  </si>
  <si>
    <t>inch.lbs/1000</t>
  </si>
  <si>
    <t>CG</t>
  </si>
  <si>
    <t>forward limit</t>
  </si>
  <si>
    <t>aft limit</t>
  </si>
  <si>
    <t xml:space="preserve">  </t>
  </si>
  <si>
    <t xml:space="preserve"> </t>
  </si>
  <si>
    <t>Weighing report date: as stated on documentation</t>
  </si>
  <si>
    <t>.</t>
  </si>
  <si>
    <t>PH-EAM</t>
  </si>
  <si>
    <t>FUEL: 2X 27 USG            2X 26 USG USABLE</t>
  </si>
  <si>
    <t>MAX TAKE-OFF WEIGHT 2550 LBS / 1157 KG</t>
  </si>
  <si>
    <t>take-off mass (MAX 2550 lbs/1157 Kg)</t>
  </si>
  <si>
    <t xml:space="preserve">                         Weight and Balance C172N</t>
  </si>
  <si>
    <t>SSN-W&amp;B 7.0 dated 22-09-2021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</si>
</sst>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8"/>
      <color theme="3" tint="-0.499984740745262"/>
      <name val="Arial"/>
      <family val="2"/>
    </font>
    <font>
      <sz val="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14"/>
      <color theme="3" tint="-0.499984740745262"/>
      <name val="Arial"/>
      <family val="2"/>
    </font>
    <font>
      <b/>
      <sz val="14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10"/>
      <color rgb="FF002060"/>
      <name val="Arial"/>
      <family val="2"/>
    </font>
    <font>
      <b/>
      <sz val="18"/>
      <color theme="3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3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5" fontId="6" fillId="0" borderId="0" xfId="0" applyNumberFormat="1" applyFont="1" applyBorder="1"/>
    <xf numFmtId="14" fontId="7" fillId="0" borderId="0" xfId="0" applyNumberFormat="1" applyFont="1" applyBorder="1"/>
    <xf numFmtId="0" fontId="8" fillId="0" borderId="0" xfId="0" applyFont="1" applyBorder="1"/>
    <xf numFmtId="0" fontId="5" fillId="0" borderId="0" xfId="0" applyFont="1" applyBorder="1"/>
    <xf numFmtId="0" fontId="5" fillId="0" borderId="0" xfId="0" applyFont="1"/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/>
    <xf numFmtId="0" fontId="11" fillId="2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Alignment="1">
      <alignment horizontal="center"/>
    </xf>
    <xf numFmtId="0" fontId="11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right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1" fillId="4" borderId="0" xfId="0" applyFont="1" applyFill="1" applyBorder="1" applyAlignment="1">
      <alignment horizontal="left"/>
    </xf>
    <xf numFmtId="0" fontId="5" fillId="4" borderId="0" xfId="0" applyFont="1" applyFill="1"/>
    <xf numFmtId="0" fontId="11" fillId="4" borderId="0" xfId="0" applyFont="1" applyFill="1" applyBorder="1" applyAlignment="1"/>
    <xf numFmtId="0" fontId="11" fillId="4" borderId="0" xfId="0" applyFont="1" applyFill="1" applyBorder="1" applyAlignment="1">
      <alignment horizontal="center"/>
    </xf>
  </cellXfs>
  <cellStyles count="1">
    <cellStyle name="Standaard" xfId="0" builtinId="0"/>
  </cellStyles>
  <dxfs count="8"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Center of Gravity moment envelope</a:t>
            </a:r>
          </a:p>
        </c:rich>
      </c:tx>
      <c:layout>
        <c:manualLayout>
          <c:xMode val="edge"/>
          <c:yMode val="edge"/>
          <c:x val="0.2211640211640212"/>
          <c:y val="2.6856240126382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4381006277317"/>
          <c:y val="0.23541582849589879"/>
          <c:w val="0.71272519987360095"/>
          <c:h val="0.56375895771384565"/>
        </c:manualLayout>
      </c:layout>
      <c:scatterChart>
        <c:scatterStyle val="lineMarker"/>
        <c:varyColors val="0"/>
        <c:ser>
          <c:idx val="0"/>
          <c:order val="0"/>
          <c:tx>
            <c:v>Ramp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Blad1!$H$13</c:f>
              <c:numCache>
                <c:formatCode>General</c:formatCode>
                <c:ptCount val="1"/>
                <c:pt idx="0">
                  <c:v>65.463392400000004</c:v>
                </c:pt>
              </c:numCache>
            </c:numRef>
          </c:xVal>
          <c:yVal>
            <c:numRef>
              <c:f>Blad1!$D$13</c:f>
              <c:numCache>
                <c:formatCode>General</c:formatCode>
                <c:ptCount val="1"/>
                <c:pt idx="0">
                  <c:v>1558.6522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8D-4849-9A76-6ACED2284CA7}"/>
            </c:ext>
          </c:extLst>
        </c:ser>
        <c:ser>
          <c:idx val="1"/>
          <c:order val="1"/>
          <c:tx>
            <c:v>Take-off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Blad1!$H$17</c:f>
              <c:numCache>
                <c:formatCode>General</c:formatCode>
                <c:ptCount val="1"/>
                <c:pt idx="0">
                  <c:v>64.863392400000009</c:v>
                </c:pt>
              </c:numCache>
            </c:numRef>
          </c:xVal>
          <c:yVal>
            <c:numRef>
              <c:f>Blad1!$D$17</c:f>
              <c:numCache>
                <c:formatCode>General</c:formatCode>
                <c:ptCount val="1"/>
                <c:pt idx="0">
                  <c:v>1558.6522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8D-4849-9A76-6ACED2284CA7}"/>
            </c:ext>
          </c:extLst>
        </c:ser>
        <c:ser>
          <c:idx val="2"/>
          <c:order val="2"/>
          <c:tx>
            <c:v>Landing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Blad1!$H$21</c:f>
              <c:numCache>
                <c:formatCode>General</c:formatCode>
                <c:ptCount val="1"/>
                <c:pt idx="0">
                  <c:v>64.863392400000009</c:v>
                </c:pt>
              </c:numCache>
            </c:numRef>
          </c:xVal>
          <c:yVal>
            <c:numRef>
              <c:f>Blad1!$D$21</c:f>
              <c:numCache>
                <c:formatCode>General</c:formatCode>
                <c:ptCount val="1"/>
                <c:pt idx="0">
                  <c:v>1558.6522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8D-4849-9A76-6ACED2284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798848"/>
        <c:axId val="124821888"/>
      </c:scatterChart>
      <c:valAx>
        <c:axId val="124798848"/>
        <c:scaling>
          <c:orientation val="minMax"/>
          <c:max val="120"/>
          <c:min val="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Loaded aircraft moment/1000 (lbs-inch)</a:t>
                </a:r>
              </a:p>
            </c:rich>
          </c:tx>
          <c:layout>
            <c:manualLayout>
              <c:xMode val="edge"/>
              <c:yMode val="edge"/>
              <c:x val="0.32486805815941755"/>
              <c:y val="0.930491224142005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4821888"/>
        <c:crossesAt val="45"/>
        <c:crossBetween val="midCat"/>
        <c:majorUnit val="5"/>
        <c:minorUnit val="1"/>
      </c:valAx>
      <c:valAx>
        <c:axId val="124821888"/>
        <c:scaling>
          <c:orientation val="minMax"/>
          <c:max val="255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Loaded aircraft  weight (lbs)</a:t>
                </a:r>
              </a:p>
            </c:rich>
          </c:tx>
          <c:layout>
            <c:manualLayout>
              <c:xMode val="edge"/>
              <c:yMode val="edge"/>
              <c:x val="1.6931216931216932E-2"/>
              <c:y val="0.352291176873032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4798848"/>
        <c:crossesAt val="0"/>
        <c:crossBetween val="midCat"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047394128661163"/>
          <c:y val="0.28591592373268426"/>
          <c:w val="8.7768830251497065E-2"/>
          <c:h val="0.108415184175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85725</xdr:rowOff>
    </xdr:from>
    <xdr:to>
      <xdr:col>10</xdr:col>
      <xdr:colOff>552450</xdr:colOff>
      <xdr:row>65</xdr:row>
      <xdr:rowOff>123825</xdr:rowOff>
    </xdr:to>
    <xdr:graphicFrame macro="">
      <xdr:nvGraphicFramePr>
        <xdr:cNvPr id="1025" name="Chart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142875</xdr:colOff>
      <xdr:row>55</xdr:row>
      <xdr:rowOff>22225</xdr:rowOff>
    </xdr:from>
    <xdr:to>
      <xdr:col>3</xdr:col>
      <xdr:colOff>6350</xdr:colOff>
      <xdr:row>57</xdr:row>
      <xdr:rowOff>50800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403475" y="9966325"/>
          <a:ext cx="574675" cy="358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Utility</a:t>
          </a:r>
        </a:p>
        <a:p>
          <a:pPr algn="l" rtl="0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Category</a:t>
          </a:r>
        </a:p>
      </xdr:txBody>
    </xdr:sp>
    <xdr:clientData/>
  </xdr:twoCellAnchor>
  <xdr:twoCellAnchor>
    <xdr:from>
      <xdr:col>4</xdr:col>
      <xdr:colOff>330200</xdr:colOff>
      <xdr:row>50</xdr:row>
      <xdr:rowOff>158750</xdr:rowOff>
    </xdr:from>
    <xdr:to>
      <xdr:col>5</xdr:col>
      <xdr:colOff>288925</xdr:colOff>
      <xdr:row>53</xdr:row>
      <xdr:rowOff>22225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911600" y="9277350"/>
          <a:ext cx="568325" cy="358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Normal</a:t>
          </a:r>
        </a:p>
        <a:p>
          <a:pPr algn="l" rtl="0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Category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571895</xdr:colOff>
      <xdr:row>0</xdr:row>
      <xdr:rowOff>893334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834083" cy="89333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0.40508</cdr:x>
      <cdr:y>0.23605</cdr:y>
    </cdr:from>
    <cdr:to>
      <cdr:x>0.81016</cdr:x>
      <cdr:y>0.8001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644890" y="1450975"/>
          <a:ext cx="3644910" cy="34670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0.62225</cdr:x>
      <cdr:y>0.23886</cdr:y>
    </cdr:from>
    <cdr:to>
      <cdr:x>0.81028</cdr:x>
      <cdr:y>0.23886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03914" y="1482255"/>
          <a:ext cx="169337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0.22301</cdr:x>
      <cdr:y>0.52066</cdr:y>
    </cdr:from>
    <cdr:to>
      <cdr:x>0.3847</cdr:x>
      <cdr:y>0.8001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006600" y="3200392"/>
          <a:ext cx="1454911" cy="171768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0.3847</cdr:x>
      <cdr:y>0.24019</cdr:y>
    </cdr:from>
    <cdr:to>
      <cdr:x>0.62103</cdr:x>
      <cdr:y>0.52016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461510" y="1476375"/>
          <a:ext cx="2126490" cy="17209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0.31334</cdr:x>
      <cdr:y>0.42614</cdr:y>
    </cdr:from>
    <cdr:to>
      <cdr:x>0.53776</cdr:x>
      <cdr:y>0.8001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19418" y="2619375"/>
          <a:ext cx="2019282" cy="22986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0.4624</cdr:x>
      <cdr:y>0.42407</cdr:y>
    </cdr:from>
    <cdr:to>
      <cdr:x>0.53917</cdr:x>
      <cdr:y>0.42551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160679" y="2606675"/>
          <a:ext cx="690721" cy="88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NL"/>
        </a:p>
      </cdr:txBody>
    </cdr:sp>
  </cdr:relSizeAnchor>
</c:userShape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7"/>
  <sheetViews>
    <sheetView tabSelected="1" zoomScale="115" zoomScaleNormal="115" workbookViewId="0">
      <selection activeCell="M10" sqref="M10"/>
    </sheetView>
  </sheetViews>
  <sheetFormatPr defaultRowHeight="12.75" x14ac:dyDescent="0.2"/>
  <cols>
    <col min="1" max="1" width="20" customWidth="1"/>
    <col min="2" max="2" width="13.85546875" style="2" customWidth="1"/>
    <col min="3" max="3" width="10.7109375" style="2" bestFit="1" customWidth="1"/>
    <col min="4" max="7" width="9.140625" style="2"/>
    <col min="8" max="8" width="13" style="2" customWidth="1"/>
    <col min="9" max="9" width="21" customWidth="1"/>
    <col min="10" max="10" width="11.5703125" customWidth="1"/>
  </cols>
  <sheetData>
    <row r="1" spans="1:19" ht="96.75" customHeight="1" x14ac:dyDescent="0.4">
      <c r="A1" s="8" t="s">
        <v>30</v>
      </c>
      <c r="B1" s="9"/>
      <c r="C1" s="10"/>
      <c r="D1" s="10"/>
      <c r="E1" s="10"/>
      <c r="F1" s="10"/>
      <c r="G1" s="10"/>
      <c r="H1" s="40" t="s">
        <v>26</v>
      </c>
      <c r="I1" s="11">
        <f ca="1">TODAY()</f>
        <v>44461</v>
      </c>
      <c r="J1" s="12"/>
      <c r="K1" s="13">
        <v>1</v>
      </c>
      <c r="L1" s="7"/>
      <c r="M1" s="7"/>
    </row>
    <row r="2" spans="1:19" x14ac:dyDescent="0.2">
      <c r="A2" s="14" t="s">
        <v>31</v>
      </c>
      <c r="B2" s="10"/>
      <c r="C2" s="10"/>
      <c r="D2" s="10"/>
      <c r="E2" s="10"/>
      <c r="F2" s="10"/>
      <c r="G2" s="10"/>
      <c r="H2" s="10"/>
      <c r="I2" s="15"/>
      <c r="J2" s="15"/>
      <c r="K2" s="36" t="s">
        <v>24</v>
      </c>
    </row>
    <row r="3" spans="1:19" s="3" customFormat="1" ht="18.75" customHeight="1" x14ac:dyDescent="0.25">
      <c r="A3" s="16"/>
      <c r="B3" s="16"/>
      <c r="C3" s="17" t="s">
        <v>6</v>
      </c>
      <c r="D3" s="16"/>
      <c r="E3" s="16"/>
      <c r="F3" s="17" t="s">
        <v>7</v>
      </c>
      <c r="G3" s="16"/>
      <c r="H3" s="17" t="s">
        <v>9</v>
      </c>
      <c r="I3" s="18"/>
      <c r="J3" s="19" t="s">
        <v>19</v>
      </c>
      <c r="K3" s="19" t="s">
        <v>19</v>
      </c>
    </row>
    <row r="4" spans="1:19" s="2" customFormat="1" x14ac:dyDescent="0.2">
      <c r="A4" s="20"/>
      <c r="B4" s="20"/>
      <c r="C4" s="20" t="s">
        <v>4</v>
      </c>
      <c r="D4" s="20" t="s">
        <v>5</v>
      </c>
      <c r="E4" s="20"/>
      <c r="F4" s="20" t="s">
        <v>8</v>
      </c>
      <c r="G4" s="20"/>
      <c r="H4" s="20" t="s">
        <v>18</v>
      </c>
      <c r="I4" s="21"/>
      <c r="J4" s="21" t="s">
        <v>20</v>
      </c>
      <c r="K4" s="21" t="s">
        <v>21</v>
      </c>
    </row>
    <row r="5" spans="1:19" x14ac:dyDescent="0.2">
      <c r="A5" s="22" t="s">
        <v>0</v>
      </c>
      <c r="B5" s="23"/>
      <c r="C5" s="10">
        <v>707</v>
      </c>
      <c r="D5" s="24">
        <f>(C5*2.2046)</f>
        <v>1558.6522</v>
      </c>
      <c r="E5" s="24"/>
      <c r="F5" s="23">
        <v>42</v>
      </c>
      <c r="G5" s="24"/>
      <c r="H5" s="24">
        <f>(D5*F5)/1000</f>
        <v>65.463392400000004</v>
      </c>
      <c r="I5" s="25"/>
      <c r="J5" s="25"/>
      <c r="K5" s="25"/>
    </row>
    <row r="6" spans="1:19" x14ac:dyDescent="0.2">
      <c r="A6" s="22" t="s">
        <v>1</v>
      </c>
      <c r="B6" s="24"/>
      <c r="C6" s="39">
        <v>0</v>
      </c>
      <c r="D6" s="24">
        <f>(C6*2.2046)</f>
        <v>0</v>
      </c>
      <c r="E6" s="24"/>
      <c r="F6" s="24">
        <v>37</v>
      </c>
      <c r="G6" s="24"/>
      <c r="H6" s="24">
        <f>(D6*F6)/1000</f>
        <v>0</v>
      </c>
      <c r="I6" s="25"/>
      <c r="J6" s="25"/>
      <c r="K6" s="25"/>
    </row>
    <row r="7" spans="1:19" x14ac:dyDescent="0.2">
      <c r="A7" s="22" t="s">
        <v>2</v>
      </c>
      <c r="B7" s="24"/>
      <c r="C7" s="39">
        <v>0</v>
      </c>
      <c r="D7" s="24">
        <f t="shared" ref="D7:D9" si="0">(C7*2.2046)</f>
        <v>0</v>
      </c>
      <c r="E7" s="24"/>
      <c r="F7" s="24">
        <v>73</v>
      </c>
      <c r="G7" s="24"/>
      <c r="H7" s="24">
        <f>(D7*F7)/1000</f>
        <v>0</v>
      </c>
      <c r="I7" s="25"/>
      <c r="J7" s="25"/>
      <c r="K7" s="25"/>
    </row>
    <row r="8" spans="1:19" x14ac:dyDescent="0.2">
      <c r="A8" s="22" t="s">
        <v>3</v>
      </c>
      <c r="B8" s="24"/>
      <c r="C8" s="10">
        <v>0</v>
      </c>
      <c r="D8" s="24">
        <f t="shared" si="0"/>
        <v>0</v>
      </c>
      <c r="E8" s="24"/>
      <c r="F8" s="24">
        <v>96</v>
      </c>
      <c r="G8" s="24"/>
      <c r="H8" s="24">
        <f>(D8*F8)/1000</f>
        <v>0</v>
      </c>
      <c r="I8" s="25"/>
      <c r="J8" s="25"/>
      <c r="K8" s="25"/>
    </row>
    <row r="9" spans="1:19" s="6" customFormat="1" x14ac:dyDescent="0.2">
      <c r="A9" s="26" t="s">
        <v>10</v>
      </c>
      <c r="B9" s="27"/>
      <c r="C9" s="27">
        <f>SUM(C5:C8)</f>
        <v>707</v>
      </c>
      <c r="D9" s="24">
        <f t="shared" si="0"/>
        <v>1558.6522</v>
      </c>
      <c r="E9" s="27"/>
      <c r="F9" s="27"/>
      <c r="G9" s="27"/>
      <c r="H9" s="27">
        <f>SUM(H5:H8)</f>
        <v>65.463392400000004</v>
      </c>
      <c r="I9" s="28"/>
      <c r="J9" s="25">
        <f>(50.5+((D9-1500)/21.05))</f>
        <v>53.286327790973871</v>
      </c>
      <c r="K9" s="25">
        <f>SUM(J9+20.5)</f>
        <v>73.786327790973871</v>
      </c>
    </row>
    <row r="10" spans="1:19" x14ac:dyDescent="0.2">
      <c r="A10" s="14"/>
      <c r="B10" s="10"/>
      <c r="C10" s="10"/>
      <c r="D10" s="10"/>
      <c r="E10" s="10"/>
      <c r="F10" s="10"/>
      <c r="G10" s="10"/>
      <c r="H10" s="10"/>
      <c r="I10" s="15"/>
      <c r="J10" s="15"/>
      <c r="K10" s="15"/>
    </row>
    <row r="11" spans="1:19" s="5" customFormat="1" x14ac:dyDescent="0.2">
      <c r="A11" s="20"/>
      <c r="B11" s="20" t="s">
        <v>16</v>
      </c>
      <c r="C11" s="20" t="s">
        <v>17</v>
      </c>
      <c r="D11" s="20" t="s">
        <v>23</v>
      </c>
      <c r="E11" s="20" t="s">
        <v>25</v>
      </c>
      <c r="F11" s="20" t="s">
        <v>8</v>
      </c>
      <c r="G11" s="20"/>
      <c r="H11" s="20" t="s">
        <v>18</v>
      </c>
      <c r="I11" s="21"/>
      <c r="J11" s="21"/>
      <c r="K11" s="21"/>
    </row>
    <row r="12" spans="1:19" x14ac:dyDescent="0.2">
      <c r="A12" s="22" t="s">
        <v>13</v>
      </c>
      <c r="B12" s="10">
        <v>0</v>
      </c>
      <c r="C12" s="24">
        <f>B12*3.8</f>
        <v>0</v>
      </c>
      <c r="D12" s="24">
        <f>(B12*6)</f>
        <v>0</v>
      </c>
      <c r="E12" s="24"/>
      <c r="F12" s="24">
        <v>50</v>
      </c>
      <c r="G12" s="24"/>
      <c r="H12" s="24">
        <f>(D12*F12)/1000</f>
        <v>0</v>
      </c>
      <c r="I12" s="25"/>
      <c r="J12" s="25"/>
      <c r="K12" s="25"/>
    </row>
    <row r="13" spans="1:19" s="1" customFormat="1" x14ac:dyDescent="0.2">
      <c r="A13" s="26" t="s">
        <v>11</v>
      </c>
      <c r="B13" s="27"/>
      <c r="C13" s="27"/>
      <c r="D13" s="29">
        <f>SUM(D9+D12)</f>
        <v>1558.6522</v>
      </c>
      <c r="E13" s="29" t="str">
        <f>IF($D$13&gt;2447,"Overschrijding maximum ramp mass!","Ramp mass OK")</f>
        <v>Ramp mass OK</v>
      </c>
      <c r="F13" s="27"/>
      <c r="G13" s="27"/>
      <c r="H13" s="27">
        <f>SUM(H9+H12)</f>
        <v>65.463392400000004</v>
      </c>
      <c r="I13" s="29" t="str">
        <f>IF(H13&lt;=J13,"Forward CG!",IF(H13&gt;=K13,"Aft CG!","CG OK"))</f>
        <v>CG OK</v>
      </c>
      <c r="J13" s="25">
        <f>(50.5+((D13-1500)/21.05))</f>
        <v>53.286327790973871</v>
      </c>
      <c r="K13" s="25">
        <f>SUM(J13+20.5)</f>
        <v>73.786327790973871</v>
      </c>
      <c r="S13" s="1" t="s">
        <v>23</v>
      </c>
    </row>
    <row r="14" spans="1:19" s="4" customFormat="1" x14ac:dyDescent="0.2">
      <c r="A14" s="30"/>
      <c r="B14" s="23"/>
      <c r="C14" s="23"/>
      <c r="D14" s="23"/>
      <c r="E14" s="23"/>
      <c r="F14" s="23"/>
      <c r="G14" s="23"/>
      <c r="H14" s="23"/>
      <c r="I14" s="31"/>
      <c r="J14" s="31"/>
      <c r="K14" s="31"/>
    </row>
    <row r="15" spans="1:19" s="5" customFormat="1" x14ac:dyDescent="0.2">
      <c r="A15" s="20"/>
      <c r="B15" s="20" t="s">
        <v>16</v>
      </c>
      <c r="C15" s="20" t="s">
        <v>17</v>
      </c>
      <c r="D15" s="20" t="s">
        <v>5</v>
      </c>
      <c r="E15" s="20"/>
      <c r="F15" s="20" t="s">
        <v>8</v>
      </c>
      <c r="G15" s="20"/>
      <c r="H15" s="20" t="s">
        <v>18</v>
      </c>
      <c r="I15" s="21"/>
      <c r="J15" s="21"/>
      <c r="K15" s="21"/>
    </row>
    <row r="16" spans="1:19" x14ac:dyDescent="0.2">
      <c r="A16" s="22" t="s">
        <v>14</v>
      </c>
      <c r="B16" s="10">
        <v>0</v>
      </c>
      <c r="C16" s="24">
        <f>(B16*3.8)</f>
        <v>0</v>
      </c>
      <c r="D16" s="24">
        <f>(B16*6)</f>
        <v>0</v>
      </c>
      <c r="E16" s="24"/>
      <c r="F16" s="24">
        <v>50</v>
      </c>
      <c r="G16" s="24"/>
      <c r="H16" s="24">
        <v>0.6</v>
      </c>
      <c r="I16" s="25"/>
      <c r="J16" s="25"/>
      <c r="K16" s="25"/>
    </row>
    <row r="17" spans="1:11" s="1" customFormat="1" x14ac:dyDescent="0.2">
      <c r="A17" s="26" t="s">
        <v>29</v>
      </c>
      <c r="B17" s="27"/>
      <c r="C17" s="27"/>
      <c r="D17" s="29">
        <f>SUM(D13-D16)</f>
        <v>1558.6522</v>
      </c>
      <c r="E17" s="29" t="str">
        <f>IF($D$17&gt;2440,"Overschrijding maximum take-off mass!","Take-off mass OK")</f>
        <v>Take-off mass OK</v>
      </c>
      <c r="F17" s="27"/>
      <c r="G17" s="27"/>
      <c r="H17" s="27">
        <f>SUM(H13-H16)</f>
        <v>64.863392400000009</v>
      </c>
      <c r="I17" s="29" t="str">
        <f>IF(H17&lt;=J17,"Forward CG!",IF(H17&gt;=K17,"Aft CG!","CG OK"))</f>
        <v>CG OK</v>
      </c>
      <c r="J17" s="25">
        <f>(50.5+((D17-1500)/21.05))</f>
        <v>53.286327790973871</v>
      </c>
      <c r="K17" s="25">
        <f>SUM(J17+20.5)</f>
        <v>73.786327790973871</v>
      </c>
    </row>
    <row r="18" spans="1:11" s="4" customFormat="1" x14ac:dyDescent="0.2">
      <c r="A18" s="30"/>
      <c r="B18" s="23"/>
      <c r="C18" s="23"/>
      <c r="D18" s="23"/>
      <c r="E18" s="23"/>
      <c r="F18" s="23"/>
      <c r="G18" s="23"/>
      <c r="H18" s="23"/>
      <c r="I18" s="31"/>
      <c r="J18" s="31"/>
      <c r="K18" s="31"/>
    </row>
    <row r="19" spans="1:11" s="5" customFormat="1" x14ac:dyDescent="0.2">
      <c r="A19" s="20"/>
      <c r="B19" s="20" t="s">
        <v>16</v>
      </c>
      <c r="C19" s="20" t="s">
        <v>17</v>
      </c>
      <c r="D19" s="20" t="s">
        <v>5</v>
      </c>
      <c r="E19" s="20"/>
      <c r="F19" s="20" t="s">
        <v>8</v>
      </c>
      <c r="G19" s="20"/>
      <c r="H19" s="20" t="s">
        <v>18</v>
      </c>
      <c r="I19" s="21"/>
      <c r="J19" s="21"/>
      <c r="K19" s="21"/>
    </row>
    <row r="20" spans="1:11" x14ac:dyDescent="0.2">
      <c r="A20" s="22" t="s">
        <v>15</v>
      </c>
      <c r="B20" s="10">
        <v>0</v>
      </c>
      <c r="C20" s="24">
        <f>(B20*3.8)</f>
        <v>0</v>
      </c>
      <c r="D20" s="24">
        <f>(B20*6)</f>
        <v>0</v>
      </c>
      <c r="E20" s="24"/>
      <c r="F20" s="24">
        <v>50</v>
      </c>
      <c r="G20" s="24"/>
      <c r="H20" s="24">
        <f>(D20*F20)/1000</f>
        <v>0</v>
      </c>
      <c r="I20" s="25"/>
      <c r="J20" s="25"/>
      <c r="K20" s="25"/>
    </row>
    <row r="21" spans="1:11" s="1" customFormat="1" x14ac:dyDescent="0.2">
      <c r="A21" s="26" t="s">
        <v>12</v>
      </c>
      <c r="B21" s="27" t="s">
        <v>22</v>
      </c>
      <c r="C21" s="27"/>
      <c r="D21" s="29">
        <f>SUM(D17-D20)</f>
        <v>1558.6522</v>
      </c>
      <c r="E21" s="29" t="str">
        <f>IF($D$21&gt;2440,"Overschrijding maximum landing mass!","Landing mass OK")</f>
        <v>Landing mass OK</v>
      </c>
      <c r="F21" s="27"/>
      <c r="G21" s="27"/>
      <c r="H21" s="27">
        <f>SUM(H17-H20)</f>
        <v>64.863392400000009</v>
      </c>
      <c r="I21" s="29" t="str">
        <f>IF(H21&lt;=J21,"Forward CG!",IF(H21&gt;=K21,"Aft CG!","CG OK"))</f>
        <v>CG OK</v>
      </c>
      <c r="J21" s="25">
        <f>(50.5+((D21-1500)/21.05))</f>
        <v>53.286327790973871</v>
      </c>
      <c r="K21" s="25">
        <f>SUM(J21+20.5)</f>
        <v>73.786327790973871</v>
      </c>
    </row>
    <row r="22" spans="1:11" s="1" customFormat="1" x14ac:dyDescent="0.2">
      <c r="A22" s="26"/>
      <c r="B22" s="27"/>
      <c r="C22" s="27"/>
      <c r="D22" s="29"/>
      <c r="E22" s="29"/>
      <c r="F22" s="27"/>
      <c r="G22" s="27"/>
      <c r="H22" s="27"/>
      <c r="I22" s="29"/>
      <c r="J22" s="25"/>
      <c r="K22" s="25"/>
    </row>
    <row r="23" spans="1:11" s="1" customFormat="1" x14ac:dyDescent="0.2">
      <c r="A23" s="33"/>
      <c r="B23" s="34"/>
      <c r="C23" s="34"/>
      <c r="D23" s="29"/>
      <c r="E23" s="29"/>
      <c r="F23" s="34"/>
      <c r="G23" s="34"/>
      <c r="H23" s="34"/>
      <c r="I23" s="43"/>
      <c r="J23" s="44"/>
      <c r="K23" s="25"/>
    </row>
    <row r="24" spans="1:11" s="1" customFormat="1" x14ac:dyDescent="0.2">
      <c r="A24" s="37"/>
      <c r="B24" s="38"/>
      <c r="C24" s="34"/>
      <c r="D24" s="29"/>
      <c r="E24" s="29"/>
      <c r="F24" s="34"/>
      <c r="G24" s="34"/>
      <c r="H24" s="34"/>
      <c r="I24" s="43"/>
      <c r="J24" s="44"/>
      <c r="K24" s="25"/>
    </row>
    <row r="25" spans="1:11" s="1" customFormat="1" x14ac:dyDescent="0.2">
      <c r="A25" s="33"/>
      <c r="B25" s="34"/>
      <c r="C25" s="34"/>
      <c r="D25" s="29"/>
      <c r="E25" s="29"/>
      <c r="F25" s="34"/>
      <c r="G25" s="34"/>
      <c r="H25" s="34"/>
      <c r="I25" s="43"/>
      <c r="J25" s="44"/>
      <c r="K25" s="25"/>
    </row>
    <row r="26" spans="1:11" s="1" customFormat="1" x14ac:dyDescent="0.2">
      <c r="A26" s="33"/>
      <c r="B26" s="46" t="s">
        <v>28</v>
      </c>
      <c r="C26" s="46"/>
      <c r="D26" s="46"/>
      <c r="E26" s="46"/>
      <c r="F26" s="46"/>
      <c r="G26" s="45"/>
      <c r="H26" s="46" t="s">
        <v>27</v>
      </c>
      <c r="I26" s="46"/>
      <c r="J26" s="46"/>
      <c r="K26" s="25"/>
    </row>
    <row r="27" spans="1:11" s="1" customFormat="1" x14ac:dyDescent="0.2">
      <c r="A27" s="33"/>
      <c r="B27" s="34"/>
      <c r="C27" s="34"/>
      <c r="D27" s="29"/>
      <c r="E27" s="29"/>
      <c r="F27" s="34"/>
      <c r="G27" s="34"/>
      <c r="H27" s="34"/>
      <c r="I27" s="43"/>
      <c r="J27" s="44"/>
      <c r="K27" s="25"/>
    </row>
    <row r="28" spans="1:11" x14ac:dyDescent="0.2">
      <c r="A28" s="15"/>
      <c r="B28" s="32"/>
      <c r="C28" s="32"/>
      <c r="D28" s="32"/>
      <c r="E28" s="32"/>
      <c r="F28" s="32"/>
      <c r="G28" s="32"/>
      <c r="H28" s="32"/>
      <c r="I28" s="15"/>
      <c r="J28" s="15"/>
      <c r="K28" s="15"/>
    </row>
    <row r="29" spans="1:11" x14ac:dyDescent="0.2">
      <c r="A29" s="15"/>
      <c r="B29" s="32"/>
      <c r="C29" s="32"/>
      <c r="D29" s="32"/>
      <c r="E29" s="32"/>
      <c r="F29" s="32"/>
      <c r="G29" s="32"/>
      <c r="H29" s="32"/>
      <c r="I29" s="15"/>
      <c r="J29" s="15"/>
      <c r="K29" s="15"/>
    </row>
    <row r="30" spans="1:11" x14ac:dyDescent="0.2">
      <c r="A30" s="15"/>
      <c r="B30" s="32"/>
      <c r="C30" s="32"/>
      <c r="D30" s="32"/>
      <c r="E30" s="32"/>
      <c r="F30" s="32"/>
      <c r="G30" s="32"/>
      <c r="H30" s="32"/>
      <c r="I30" s="15"/>
      <c r="J30" s="15"/>
      <c r="K30" s="15"/>
    </row>
    <row r="31" spans="1:11" x14ac:dyDescent="0.2">
      <c r="A31" s="15"/>
      <c r="B31" s="32"/>
      <c r="C31" s="32"/>
      <c r="D31" s="32"/>
      <c r="E31" s="32"/>
      <c r="F31" s="32"/>
      <c r="G31" s="32"/>
      <c r="H31" s="32"/>
      <c r="I31" s="15"/>
      <c r="J31" s="15"/>
      <c r="K31" s="15"/>
    </row>
    <row r="32" spans="1:11" x14ac:dyDescent="0.2">
      <c r="A32" s="15"/>
      <c r="B32" s="32"/>
      <c r="C32" s="32"/>
      <c r="D32" s="32"/>
      <c r="E32" s="32"/>
      <c r="F32" s="32"/>
      <c r="G32" s="32"/>
      <c r="H32" s="32"/>
      <c r="I32" s="15"/>
      <c r="J32" s="15"/>
      <c r="K32" s="15"/>
    </row>
    <row r="33" spans="1:11" x14ac:dyDescent="0.2">
      <c r="A33" s="15"/>
      <c r="B33" s="32"/>
      <c r="C33" s="32"/>
      <c r="D33" s="32"/>
      <c r="E33" s="32"/>
      <c r="F33" s="32"/>
      <c r="G33" s="32"/>
      <c r="H33" s="32"/>
      <c r="I33" s="15"/>
      <c r="J33" s="15"/>
      <c r="K33" s="15"/>
    </row>
    <row r="34" spans="1:11" x14ac:dyDescent="0.2">
      <c r="A34" s="15"/>
      <c r="B34" s="32"/>
      <c r="C34" s="32"/>
      <c r="D34" s="32"/>
      <c r="E34" s="32"/>
      <c r="F34" s="32"/>
      <c r="G34" s="32"/>
      <c r="H34" s="32"/>
      <c r="I34" s="15"/>
      <c r="J34" s="15"/>
      <c r="K34" s="15"/>
    </row>
    <row r="35" spans="1:11" x14ac:dyDescent="0.2">
      <c r="A35" s="15"/>
      <c r="B35" s="32"/>
      <c r="C35" s="32"/>
      <c r="D35" s="32"/>
      <c r="E35" s="32"/>
      <c r="F35" s="32"/>
      <c r="G35" s="32"/>
      <c r="H35" s="32"/>
      <c r="I35" s="15"/>
      <c r="J35" s="15"/>
      <c r="K35" s="15"/>
    </row>
    <row r="36" spans="1:11" x14ac:dyDescent="0.2">
      <c r="A36" s="15"/>
      <c r="B36" s="32"/>
      <c r="C36" s="32"/>
      <c r="D36" s="32"/>
      <c r="E36" s="32"/>
      <c r="F36" s="32"/>
      <c r="G36" s="32"/>
      <c r="H36" s="32"/>
      <c r="I36" s="15"/>
      <c r="J36" s="15"/>
      <c r="K36" s="15"/>
    </row>
    <row r="37" spans="1:11" x14ac:dyDescent="0.2">
      <c r="A37" s="15"/>
      <c r="B37" s="32"/>
      <c r="C37" s="32"/>
      <c r="D37" s="32"/>
      <c r="E37" s="32"/>
      <c r="F37" s="32"/>
      <c r="G37" s="32"/>
      <c r="H37" s="32"/>
      <c r="I37" s="15"/>
      <c r="J37" s="15"/>
      <c r="K37" s="15"/>
    </row>
    <row r="38" spans="1:11" x14ac:dyDescent="0.2">
      <c r="A38" s="15"/>
      <c r="B38" s="32"/>
      <c r="C38" s="32"/>
      <c r="D38" s="32"/>
      <c r="E38" s="32"/>
      <c r="F38" s="32"/>
      <c r="G38" s="32"/>
      <c r="H38" s="32"/>
      <c r="I38" s="15"/>
      <c r="J38" s="15"/>
      <c r="K38" s="15"/>
    </row>
    <row r="39" spans="1:11" x14ac:dyDescent="0.2">
      <c r="A39" s="15"/>
      <c r="B39" s="32"/>
      <c r="C39" s="32"/>
      <c r="D39" s="32"/>
      <c r="E39" s="32"/>
      <c r="F39" s="32"/>
      <c r="G39" s="32"/>
      <c r="H39" s="32"/>
      <c r="I39" s="15"/>
      <c r="J39" s="15"/>
      <c r="K39" s="15"/>
    </row>
    <row r="40" spans="1:11" x14ac:dyDescent="0.2">
      <c r="A40" s="15"/>
      <c r="B40" s="32"/>
      <c r="C40" s="32"/>
      <c r="D40" s="32"/>
      <c r="E40" s="32"/>
      <c r="F40" s="32"/>
      <c r="G40" s="32"/>
      <c r="H40" s="32"/>
      <c r="I40" s="15"/>
      <c r="J40" s="15"/>
      <c r="K40" s="15"/>
    </row>
    <row r="41" spans="1:11" x14ac:dyDescent="0.2">
      <c r="A41" s="15"/>
      <c r="B41" s="32"/>
      <c r="C41" s="32"/>
      <c r="D41" s="32"/>
      <c r="E41" s="32"/>
      <c r="F41" s="32"/>
      <c r="G41" s="32"/>
      <c r="H41" s="32"/>
      <c r="I41" s="15"/>
      <c r="J41" s="15"/>
      <c r="K41" s="15"/>
    </row>
    <row r="42" spans="1:11" x14ac:dyDescent="0.2">
      <c r="A42" s="15"/>
      <c r="B42" s="32"/>
      <c r="C42" s="32"/>
      <c r="D42" s="32"/>
      <c r="E42" s="32"/>
      <c r="F42" s="32"/>
      <c r="G42" s="32"/>
      <c r="H42" s="32"/>
      <c r="I42" s="15"/>
      <c r="J42" s="15"/>
      <c r="K42" s="15"/>
    </row>
    <row r="43" spans="1:11" x14ac:dyDescent="0.2">
      <c r="A43" s="15"/>
      <c r="B43" s="32"/>
      <c r="C43" s="32"/>
      <c r="D43" s="32"/>
      <c r="E43" s="32"/>
      <c r="F43" s="32"/>
      <c r="G43" s="32"/>
      <c r="H43" s="32"/>
      <c r="I43" s="15"/>
      <c r="J43" s="15"/>
      <c r="K43" s="15"/>
    </row>
    <row r="44" spans="1:11" x14ac:dyDescent="0.2">
      <c r="A44" s="15"/>
      <c r="B44" s="32"/>
      <c r="C44" s="32"/>
      <c r="D44" s="32"/>
      <c r="E44" s="32"/>
      <c r="F44" s="32"/>
      <c r="G44" s="32"/>
      <c r="H44" s="32"/>
      <c r="I44" s="15"/>
      <c r="J44" s="15"/>
      <c r="K44" s="15"/>
    </row>
    <row r="45" spans="1:11" x14ac:dyDescent="0.2">
      <c r="A45" s="15"/>
      <c r="B45" s="32"/>
      <c r="C45" s="32"/>
      <c r="D45" s="32"/>
      <c r="E45" s="32"/>
      <c r="F45" s="32"/>
      <c r="G45" s="32"/>
      <c r="H45" s="32"/>
      <c r="I45" s="15"/>
      <c r="J45" s="15"/>
      <c r="K45" s="15"/>
    </row>
    <row r="46" spans="1:11" x14ac:dyDescent="0.2">
      <c r="A46" s="15"/>
      <c r="B46" s="32"/>
      <c r="C46" s="32"/>
      <c r="D46" s="32"/>
      <c r="E46" s="32"/>
      <c r="F46" s="32"/>
      <c r="G46" s="32"/>
      <c r="H46" s="32"/>
      <c r="I46" s="15"/>
      <c r="J46" s="15"/>
      <c r="K46" s="15"/>
    </row>
    <row r="47" spans="1:11" x14ac:dyDescent="0.2">
      <c r="A47" s="15"/>
      <c r="B47" s="32"/>
      <c r="C47" s="32"/>
      <c r="D47" s="32"/>
      <c r="E47" s="32"/>
      <c r="F47" s="32"/>
      <c r="G47" s="32"/>
      <c r="H47" s="32"/>
      <c r="I47" s="15"/>
      <c r="J47" s="15"/>
      <c r="K47" s="15"/>
    </row>
    <row r="48" spans="1:11" x14ac:dyDescent="0.2">
      <c r="A48" s="15"/>
      <c r="B48" s="32"/>
      <c r="C48" s="32"/>
      <c r="D48" s="32"/>
      <c r="E48" s="32"/>
      <c r="F48" s="32"/>
      <c r="G48" s="32"/>
      <c r="H48" s="32"/>
      <c r="I48" s="15"/>
      <c r="J48" s="15"/>
      <c r="K48" s="15"/>
    </row>
    <row r="49" spans="1:11" x14ac:dyDescent="0.2">
      <c r="A49" s="15"/>
      <c r="B49" s="32"/>
      <c r="C49" s="32"/>
      <c r="D49" s="32"/>
      <c r="E49" s="32"/>
      <c r="F49" s="32"/>
      <c r="G49" s="32"/>
      <c r="H49" s="32"/>
      <c r="I49" s="15"/>
      <c r="J49" s="15"/>
      <c r="K49" s="15"/>
    </row>
    <row r="50" spans="1:11" x14ac:dyDescent="0.2">
      <c r="A50" s="15"/>
      <c r="B50" s="32"/>
      <c r="C50" s="32"/>
      <c r="D50" s="32"/>
      <c r="E50" s="32"/>
      <c r="F50" s="32"/>
      <c r="G50" s="32"/>
      <c r="H50" s="32"/>
      <c r="I50" s="15"/>
      <c r="J50" s="15"/>
      <c r="K50" s="15"/>
    </row>
    <row r="51" spans="1:11" x14ac:dyDescent="0.2">
      <c r="A51" s="15"/>
      <c r="B51" s="32"/>
      <c r="C51" s="32"/>
      <c r="D51" s="32"/>
      <c r="E51" s="32"/>
      <c r="F51" s="32"/>
      <c r="G51" s="32"/>
      <c r="H51" s="32"/>
      <c r="I51" s="15"/>
      <c r="J51" s="15"/>
      <c r="K51" s="15"/>
    </row>
    <row r="52" spans="1:11" x14ac:dyDescent="0.2">
      <c r="A52" s="15"/>
      <c r="B52" s="32"/>
      <c r="C52" s="32"/>
      <c r="D52" s="32"/>
      <c r="E52" s="32"/>
      <c r="F52" s="32"/>
      <c r="G52" s="32"/>
      <c r="H52" s="32"/>
      <c r="I52" s="15"/>
      <c r="J52" s="15"/>
      <c r="K52" s="15"/>
    </row>
    <row r="53" spans="1:11" x14ac:dyDescent="0.2">
      <c r="A53" s="15"/>
      <c r="B53" s="32"/>
      <c r="C53" s="32"/>
      <c r="D53" s="32"/>
      <c r="E53" s="32"/>
      <c r="F53" s="32"/>
      <c r="G53" s="32"/>
      <c r="H53" s="32"/>
      <c r="I53" s="15"/>
      <c r="J53" s="15"/>
      <c r="K53" s="15"/>
    </row>
    <row r="54" spans="1:11" x14ac:dyDescent="0.2">
      <c r="A54" s="15"/>
      <c r="B54" s="32"/>
      <c r="C54" s="32"/>
      <c r="D54" s="32"/>
      <c r="E54" s="32"/>
      <c r="F54" s="32"/>
      <c r="G54" s="32"/>
      <c r="H54" s="32"/>
      <c r="I54" s="15"/>
      <c r="J54" s="15"/>
      <c r="K54" s="15"/>
    </row>
    <row r="55" spans="1:11" x14ac:dyDescent="0.2">
      <c r="A55" s="15"/>
      <c r="B55" s="32"/>
      <c r="C55" s="32"/>
      <c r="D55" s="32"/>
      <c r="E55" s="32"/>
      <c r="F55" s="32"/>
      <c r="G55" s="32"/>
      <c r="H55" s="32"/>
      <c r="I55" s="15"/>
      <c r="J55" s="15"/>
      <c r="K55" s="15"/>
    </row>
    <row r="56" spans="1:11" x14ac:dyDescent="0.2">
      <c r="A56" s="15"/>
      <c r="B56" s="32"/>
      <c r="C56" s="32"/>
      <c r="D56" s="32"/>
      <c r="E56" s="32"/>
      <c r="F56" s="32"/>
      <c r="G56" s="32"/>
      <c r="H56" s="32"/>
      <c r="I56" s="15"/>
      <c r="J56" s="15"/>
      <c r="K56" s="15"/>
    </row>
    <row r="57" spans="1:11" x14ac:dyDescent="0.2">
      <c r="A57" s="15"/>
      <c r="B57" s="32"/>
      <c r="C57" s="32"/>
      <c r="D57" s="32"/>
      <c r="E57" s="32"/>
      <c r="F57" s="32"/>
      <c r="G57" s="32"/>
      <c r="H57" s="32"/>
      <c r="I57" s="15"/>
      <c r="J57" s="15"/>
      <c r="K57" s="15"/>
    </row>
    <row r="58" spans="1:11" x14ac:dyDescent="0.2">
      <c r="A58" s="15"/>
      <c r="B58" s="32"/>
      <c r="C58" s="32"/>
      <c r="D58" s="32"/>
      <c r="E58" s="32"/>
      <c r="F58" s="32"/>
      <c r="G58" s="32"/>
      <c r="H58" s="32"/>
      <c r="I58" s="15"/>
      <c r="J58" s="15"/>
      <c r="K58" s="15"/>
    </row>
    <row r="59" spans="1:11" x14ac:dyDescent="0.2">
      <c r="A59" s="15"/>
      <c r="B59" s="32"/>
      <c r="C59" s="32"/>
      <c r="D59" s="32"/>
      <c r="E59" s="32"/>
      <c r="F59" s="32"/>
      <c r="G59" s="32"/>
      <c r="H59" s="32"/>
      <c r="I59" s="15"/>
      <c r="J59" s="15"/>
      <c r="K59" s="15"/>
    </row>
    <row r="60" spans="1:11" x14ac:dyDescent="0.2">
      <c r="A60" s="15"/>
      <c r="B60" s="32"/>
      <c r="C60" s="32"/>
      <c r="D60" s="32"/>
      <c r="E60" s="32"/>
      <c r="F60" s="32"/>
      <c r="G60" s="32"/>
      <c r="H60" s="32"/>
      <c r="I60" s="15"/>
      <c r="J60" s="15"/>
      <c r="K60" s="15"/>
    </row>
    <row r="61" spans="1:11" x14ac:dyDescent="0.2">
      <c r="A61" s="15"/>
      <c r="B61" s="32"/>
      <c r="C61" s="32"/>
      <c r="D61" s="32"/>
      <c r="E61" s="32"/>
      <c r="F61" s="32"/>
      <c r="G61" s="32"/>
      <c r="H61" s="32"/>
      <c r="I61" s="15"/>
      <c r="J61" s="15"/>
      <c r="K61" s="15"/>
    </row>
    <row r="62" spans="1:11" x14ac:dyDescent="0.2">
      <c r="A62" s="15"/>
      <c r="B62" s="32"/>
      <c r="C62" s="32"/>
      <c r="D62" s="32"/>
      <c r="E62" s="32"/>
      <c r="F62" s="32"/>
      <c r="G62" s="32"/>
      <c r="H62" s="32"/>
      <c r="I62" s="15"/>
      <c r="J62" s="15"/>
      <c r="K62" s="15"/>
    </row>
    <row r="63" spans="1:11" x14ac:dyDescent="0.2">
      <c r="A63" s="15"/>
      <c r="B63" s="32"/>
      <c r="C63" s="32"/>
      <c r="D63" s="32"/>
      <c r="E63" s="32"/>
      <c r="F63" s="32"/>
      <c r="G63" s="32"/>
      <c r="H63" s="32"/>
      <c r="I63" s="15"/>
      <c r="J63" s="15"/>
      <c r="K63" s="15"/>
    </row>
    <row r="64" spans="1:11" x14ac:dyDescent="0.2">
      <c r="A64" s="15"/>
      <c r="B64" s="32"/>
      <c r="C64" s="32"/>
      <c r="D64" s="32"/>
      <c r="E64" s="32"/>
      <c r="F64" s="32"/>
      <c r="G64" s="32"/>
      <c r="H64" s="32"/>
      <c r="I64" s="15"/>
      <c r="J64" s="15"/>
      <c r="K64" s="15"/>
    </row>
    <row r="65" spans="1:11" x14ac:dyDescent="0.2">
      <c r="A65" s="15"/>
      <c r="B65" s="32"/>
      <c r="C65" s="32"/>
      <c r="D65" s="32"/>
      <c r="E65" s="32"/>
      <c r="F65" s="32"/>
      <c r="G65" s="32"/>
      <c r="H65" s="32"/>
      <c r="I65" s="15"/>
      <c r="J65" s="15"/>
      <c r="K65" s="15"/>
    </row>
    <row r="66" spans="1:11" x14ac:dyDescent="0.2">
      <c r="A66" s="15"/>
      <c r="B66" s="32"/>
      <c r="C66" s="32"/>
      <c r="D66" s="32"/>
      <c r="E66" s="32"/>
      <c r="F66" s="32"/>
      <c r="G66" s="32"/>
      <c r="H66" s="32"/>
      <c r="I66" s="15"/>
      <c r="J66" s="15"/>
      <c r="K66" s="15"/>
    </row>
    <row r="67" spans="1:11" x14ac:dyDescent="0.2">
      <c r="A67" s="15"/>
      <c r="B67" s="32"/>
      <c r="C67" s="32"/>
      <c r="D67" s="32"/>
      <c r="E67" s="32"/>
      <c r="F67" s="32"/>
      <c r="G67" s="32"/>
      <c r="H67" s="32"/>
      <c r="I67" s="15"/>
      <c r="J67" s="15"/>
      <c r="K67" s="15"/>
    </row>
    <row r="69" spans="1:11" x14ac:dyDescent="0.2">
      <c r="B69" s="35"/>
    </row>
    <row r="70" spans="1:11" x14ac:dyDescent="0.2">
      <c r="B70" s="35"/>
    </row>
    <row r="75" spans="1:11" x14ac:dyDescent="0.2">
      <c r="E75" s="35"/>
      <c r="H75" s="41"/>
      <c r="I75" s="42"/>
    </row>
    <row r="76" spans="1:11" x14ac:dyDescent="0.2">
      <c r="H76" s="41"/>
      <c r="I76" s="42"/>
    </row>
    <row r="77" spans="1:11" x14ac:dyDescent="0.2">
      <c r="H77" s="41"/>
      <c r="I77" s="42"/>
    </row>
  </sheetData>
  <mergeCells count="2">
    <mergeCell ref="B26:F26"/>
    <mergeCell ref="H26:J26"/>
  </mergeCells>
  <phoneticPr fontId="0" type="noConversion"/>
  <conditionalFormatting sqref="D13 D17 D21:D25 D27">
    <cfRule type="cellIs" dxfId="7" priority="1" stopIfTrue="1" operator="greaterThan">
      <formula>2400</formula>
    </cfRule>
    <cfRule type="cellIs" dxfId="6" priority="3" stopIfTrue="1" operator="lessThanOrEqual">
      <formula>2400</formula>
    </cfRule>
  </conditionalFormatting>
  <conditionalFormatting sqref="H13">
    <cfRule type="cellIs" dxfId="5" priority="4" stopIfTrue="1" operator="notBetween">
      <formula>$J$13</formula>
      <formula>$K$13</formula>
    </cfRule>
    <cfRule type="cellIs" dxfId="4" priority="5" stopIfTrue="1" operator="between">
      <formula>$J$13</formula>
      <formula>$K$13</formula>
    </cfRule>
  </conditionalFormatting>
  <conditionalFormatting sqref="H17">
    <cfRule type="cellIs" dxfId="3" priority="6" stopIfTrue="1" operator="notBetween">
      <formula>$J$17</formula>
      <formula>$K$17</formula>
    </cfRule>
    <cfRule type="cellIs" dxfId="2" priority="7" stopIfTrue="1" operator="between">
      <formula>$J$17</formula>
      <formula>$K$17</formula>
    </cfRule>
  </conditionalFormatting>
  <conditionalFormatting sqref="H21:H25 H27">
    <cfRule type="cellIs" dxfId="1" priority="8" stopIfTrue="1" operator="notBetween">
      <formula>$J$21</formula>
      <formula>$K$21</formula>
    </cfRule>
    <cfRule type="cellIs" dxfId="0" priority="9" stopIfTrue="1" operator="between">
      <formula>$J$21</formula>
      <formula>$K$21</formula>
    </cfRule>
  </conditionalFormatting>
  <pageMargins left="0.75" right="0.75" top="1" bottom="1" header="0.5" footer="0.5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Vliegwerk holland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Vliegwerk</dc:creator>
  <cp:lastModifiedBy>Dynamic Aviation</cp:lastModifiedBy>
  <cp:lastPrinted>2016-08-27T08:17:32Z</cp:lastPrinted>
  <dcterms:created xsi:type="dcterms:W3CDTF">2005-05-21T08:59:53Z</dcterms:created>
  <dcterms:modified xsi:type="dcterms:W3CDTF">2021-09-22T10:52:48Z</dcterms:modified>
</cp:coreProperties>
</file>